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uczyciel\OneDrive\Dokumenty\CHWILOWO\WERSJA 1.2\"/>
    </mc:Choice>
  </mc:AlternateContent>
  <bookViews>
    <workbookView xWindow="0" yWindow="0" windowWidth="28776" windowHeight="14016"/>
  </bookViews>
  <sheets>
    <sheet name="Tabela 1" sheetId="7" r:id="rId1"/>
    <sheet name="Załacznik nr 1" sheetId="3" r:id="rId2"/>
    <sheet name="Załącznik nr 2" sheetId="4" r:id="rId3"/>
    <sheet name="Załącznik nr 7" sheetId="5" r:id="rId4"/>
    <sheet name="oświadczenie" sheetId="6" r:id="rId5"/>
    <sheet name="obliczenia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5" l="1"/>
  <c r="B17" i="4"/>
  <c r="B15" i="3"/>
  <c r="B15" i="7"/>
  <c r="F9" i="3" l="1"/>
  <c r="J15" i="2" l="1"/>
  <c r="E9" i="3" s="1"/>
  <c r="E2" i="2" l="1"/>
  <c r="G15" i="2"/>
  <c r="G12" i="2"/>
  <c r="G11" i="2" l="1"/>
  <c r="G23" i="2" s="1"/>
  <c r="J13" i="2"/>
  <c r="G9" i="5" s="1"/>
  <c r="J14" i="2"/>
  <c r="F9" i="5" s="1"/>
  <c r="J12" i="2"/>
  <c r="G9" i="3" s="1"/>
  <c r="E9" i="5" l="1"/>
  <c r="G18" i="2" l="1"/>
  <c r="F10" i="7"/>
  <c r="F11" i="7"/>
  <c r="F12" i="7"/>
  <c r="F9" i="7"/>
  <c r="D10" i="7" l="1"/>
  <c r="C11" i="7" s="1"/>
  <c r="D9" i="7"/>
  <c r="C10" i="7" s="1"/>
  <c r="B1" i="7"/>
  <c r="D11" i="5"/>
  <c r="D12" i="4"/>
  <c r="D11" i="3"/>
  <c r="D11" i="7" l="1"/>
  <c r="C12" i="7" s="1"/>
  <c r="D12" i="7" s="1"/>
  <c r="K26" i="2"/>
  <c r="J27" i="2" s="1"/>
  <c r="K27" i="2" s="1"/>
  <c r="K28" i="2" s="1"/>
  <c r="K25" i="2"/>
  <c r="J26" i="2" s="1"/>
  <c r="D10" i="3"/>
  <c r="K22" i="2"/>
  <c r="K23" i="2" s="1"/>
  <c r="F19" i="6" s="1"/>
  <c r="L17" i="2"/>
  <c r="L18" i="2" s="1"/>
  <c r="L19" i="2" s="1"/>
  <c r="L20" i="2" s="1"/>
  <c r="E4" i="2"/>
  <c r="E3" i="2"/>
  <c r="J28" i="2" l="1"/>
  <c r="G15" i="6"/>
  <c r="F18" i="6"/>
  <c r="F17" i="6"/>
  <c r="H15" i="6" l="1"/>
  <c r="H21" i="6" s="1"/>
  <c r="H22" i="6" s="1"/>
  <c r="H23" i="6" s="1"/>
  <c r="C28" i="6"/>
  <c r="F10" i="4"/>
  <c r="F12" i="4"/>
  <c r="F13" i="4"/>
  <c r="F14" i="4"/>
  <c r="F11" i="4"/>
  <c r="C15" i="6" l="1"/>
  <c r="K18" i="6" l="1"/>
  <c r="B20" i="6" s="1"/>
  <c r="I32" i="2"/>
  <c r="I31" i="2"/>
  <c r="C12" i="5"/>
  <c r="D10" i="5"/>
  <c r="C11" i="5" s="1"/>
  <c r="B1" i="5"/>
  <c r="B1" i="4"/>
  <c r="B1" i="3"/>
  <c r="C13" i="4"/>
  <c r="D13" i="4" s="1"/>
  <c r="D11" i="4"/>
  <c r="C12" i="4" s="1"/>
  <c r="D12" i="5" l="1"/>
  <c r="C13" i="5" s="1"/>
  <c r="D13" i="5" s="1"/>
  <c r="C14" i="4"/>
  <c r="D14" i="4" s="1"/>
  <c r="C11" i="3"/>
  <c r="C12" i="3"/>
  <c r="D12" i="3" s="1"/>
  <c r="C13" i="3" l="1"/>
  <c r="D13" i="3" s="1"/>
</calcChain>
</file>

<file path=xl/sharedStrings.xml><?xml version="1.0" encoding="utf-8"?>
<sst xmlns="http://schemas.openxmlformats.org/spreadsheetml/2006/main" count="141" uniqueCount="124">
  <si>
    <t>Wysokość dochodu brutto na osobę w rodzinie w złotych</t>
  </si>
  <si>
    <t>Dopłata do wypoczynku  zorganizowanego we własnym zakresie w złotych</t>
  </si>
  <si>
    <t>Lp.</t>
  </si>
  <si>
    <t>Załącznik nr 1</t>
  </si>
  <si>
    <t>Wysokość dochodu brutto na 1 osobę w rodzinie z złotych</t>
  </si>
  <si>
    <t>Tabela dofinansowania ze środków ZFŚS Szkoły Podstawowej nr 2 w Ustce do różnych form wypoczynku dla osób uprawnionych</t>
  </si>
  <si>
    <t>§ 13 pkt. 1 i 3 Regulaminu ZFŚS</t>
  </si>
  <si>
    <t>§ 13 pkt 2 Regulaminu ZFŚS</t>
  </si>
  <si>
    <t>§ 12 Regulaminu ZFŚS</t>
  </si>
  <si>
    <t xml:space="preserve">Tabela dofinansowania wypoczynku urlopowego ("wczsy pod gruszą") </t>
  </si>
  <si>
    <t>Załącznik nr 2</t>
  </si>
  <si>
    <t>Wysokość dochodu brutto na osobę z złotych</t>
  </si>
  <si>
    <t>Dopłata do wypoczynku urlopowego ("wczasy pod gruszą")</t>
  </si>
  <si>
    <t xml:space="preserve">Wysokość dopłaty do wypoczynku zorganizowanego we własnym zakresie </t>
  </si>
  <si>
    <t>dla emerytów i rencistów</t>
  </si>
  <si>
    <t>rok</t>
  </si>
  <si>
    <t>kwota</t>
  </si>
  <si>
    <t>Załącznik nr 7</t>
  </si>
  <si>
    <t>Tabela dofinansowania ze środków ZFŚS Szkoły Podstawowej nr 2 w Ustce do zapomóg losowych i doraźnych</t>
  </si>
  <si>
    <t>(raz w roku)</t>
  </si>
  <si>
    <t>(dwa razy do roku)</t>
  </si>
  <si>
    <t>Zapomoga doraźna</t>
  </si>
  <si>
    <t>Świadomy odpowiedzialności karnej z art. 233 § 1 Kodeksu Karnego oświadczam, że dochód mój i członków mojej rodziny wynosi:</t>
  </si>
  <si>
    <t>Data urodzenia</t>
  </si>
  <si>
    <t>1.</t>
  </si>
  <si>
    <t>2.</t>
  </si>
  <si>
    <t>3.</t>
  </si>
  <si>
    <t>4.</t>
  </si>
  <si>
    <t>5.</t>
  </si>
  <si>
    <t>RAZEM DOCHÓD za 3 m-ce</t>
  </si>
  <si>
    <t>*do powyższego oświadczenia dołączam  zaświadczenia  potwierdzające dochody uzyskane przez członków mojej rodziny.</t>
  </si>
  <si>
    <t xml:space="preserve">Oświadczam, iż zostałem poinformowany o tym, że: </t>
  </si>
  <si>
    <t xml:space="preserve">  /podpis/</t>
  </si>
  <si>
    <t>/adres/</t>
  </si>
  <si>
    <t>dd-MM-rrrr</t>
  </si>
  <si>
    <t xml:space="preserve">Administrator danych przetwarza dane osobowe w celu przyznania świadczeń z Zakładowego Funduszu Świadczeń Socjalnych </t>
  </si>
  <si>
    <t>Podstawą przetwarzania danych osobowych jest art. 6 ust. 1 lit c)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danych).</t>
  </si>
  <si>
    <t>Dane osobowe mogą być powierzane do przetwarzania pomiotom działającym na zlecenia Administratora danych, z których usług SP2 w Ustce korzysta przy ich przetwarzaniu, np.: podmiotom świadczącym usługi IT w zakresie wsparcia serwisowego oraz pomiotom zewnętrznym w przypadkach przewidzianych przepisami prawa.</t>
  </si>
  <si>
    <t>Podanie danych jest dobrowolne, jednak konieczne do realizacji celów, do jakich zostały zebrane.</t>
  </si>
  <si>
    <t>Dane osobowe przetwarzane będą przez okres wymagany przepisami prawa w zakresie niezbędnym do realizacji określonych celów do jakich zostały zebrane. .</t>
  </si>
  <si>
    <t xml:space="preserve">Zostałem poinformowany, iż podane przeze mnie dane nie będą podlegać zautomatyzowanemu podejmowaniu decyzji, w tym profilowaniu. </t>
  </si>
  <si>
    <t>Jestem świadomy/a o przysługującym mi prawie do wniesienia skargi do organu nadzorczego, tj. Prezesa Urzędu Ochrony Danych Osobowych.</t>
  </si>
  <si>
    <t>………………………………………</t>
  </si>
  <si>
    <t>lista 1</t>
  </si>
  <si>
    <t>Jestem świadomy/a przysługującego mi prawa dostępu do danych osobowych dotyczących mojej osoby, ich sprostowania, usunięcia lub ograniczenia przetwarzania.</t>
  </si>
  <si>
    <t>dla pracowników administracji i obsługi czynnych zawodowo</t>
  </si>
  <si>
    <t>Miejsce pracy, nauki - wymienić wszystkie miejsca, w których osiągany jest dochód</t>
  </si>
  <si>
    <t>%MW</t>
  </si>
  <si>
    <t>kwotowo</t>
  </si>
  <si>
    <t>% poniesionych i udokumentowanych kosztów</t>
  </si>
  <si>
    <t xml:space="preserve"> § 10 Regulaminu ZFŚS</t>
  </si>
  <si>
    <t>% poniesionych kosztów na pracownika</t>
  </si>
  <si>
    <t>Kolumna D</t>
  </si>
  <si>
    <t>Kolumna E</t>
  </si>
  <si>
    <t>Kolumna C</t>
  </si>
  <si>
    <t>Kolumna F</t>
  </si>
  <si>
    <t>Zapomoga losowa</t>
  </si>
  <si>
    <t>% poniesionych i udokumentowanych kosztów lub strat. Limit</t>
  </si>
  <si>
    <t>Dopłata do wycieczek organizowane przez pracodawcę</t>
  </si>
  <si>
    <t xml:space="preserve">Dopłata do kolonii, obozów, wycieczek i wczasów dla dzieci. </t>
  </si>
  <si>
    <t xml:space="preserve">Dopłata do wczasów, wycieczek, sanatorium, dla uprawnionych, organizowanych we własnym zakresie. </t>
  </si>
  <si>
    <t xml:space="preserve">Dopłata do biletów wstępu i karnetów dla uprawnionych i uprawnionych członków rodziny. </t>
  </si>
  <si>
    <t>pożar, kradzież, zalanie, tętniak, wylew, zawał serca, poważne złamanie</t>
  </si>
  <si>
    <t>choroba nowotworowa.</t>
  </si>
  <si>
    <t>raz na dwa lata</t>
  </si>
  <si>
    <t>Tabela 1 Regulaminu</t>
  </si>
  <si>
    <t>Administratorem przekazanych danych osobowych jest Szkoła Podstawowa nr 2 im. kmdra. Bolesława Romanowskiego w Ustce z siedzibą przy ul. Jagiellońskiej 1, 76-270 Ustka.</t>
  </si>
  <si>
    <t>IOD</t>
  </si>
  <si>
    <t>iod@sp2.ustka.pl</t>
  </si>
  <si>
    <t>Pracownik SP2 Ustka</t>
  </si>
  <si>
    <t>nieoskładkowany np. nagroda jubileuszowa</t>
  </si>
  <si>
    <t>Dochód z innych miejsc pracy za ostatnie 3 miesiące</t>
  </si>
  <si>
    <t>a.</t>
  </si>
  <si>
    <t>b.</t>
  </si>
  <si>
    <t>c.</t>
  </si>
  <si>
    <t>wpisz nazwę zakładu pracy:</t>
  </si>
  <si>
    <t>d.</t>
  </si>
  <si>
    <t>ŁĄCZNIE dochód wnioskodawcy z 3 ostatnich miesięcy:</t>
  </si>
  <si>
    <t>Wysokość minimalnego wynagrodzenia za pracę</t>
  </si>
  <si>
    <t>koszty uzyskania przychodu</t>
  </si>
  <si>
    <t>,</t>
  </si>
  <si>
    <t>kwota za 3 ostatnie miesiące</t>
  </si>
  <si>
    <t xml:space="preserve">Data złożenia wniosku (dd-MM-rrrr) </t>
  </si>
  <si>
    <t>Średni miesięczny dochód z 3 ostatnich miesięcy na 1 osobę zaokrąglony do pełnych złotych</t>
  </si>
  <si>
    <t>Data</t>
  </si>
  <si>
    <t>wiek</t>
  </si>
  <si>
    <t>Stpień pokrewieństwa</t>
  </si>
  <si>
    <t>córka</t>
  </si>
  <si>
    <t>syn</t>
  </si>
  <si>
    <t>Lista 2 - KUP</t>
  </si>
  <si>
    <t>Lista 3 - Stopień pokrewiewa</t>
  </si>
  <si>
    <t>współmałżonek/-ka</t>
  </si>
  <si>
    <t>Wysokość dochodów brutto za ostatnie 3 m-ce</t>
  </si>
  <si>
    <t>-</t>
  </si>
  <si>
    <t>data wprowadzenia</t>
  </si>
  <si>
    <t>Obliczanie dochodu wnioskodawcy z paska wynagrodzeń na potrzeby ZFŚS za 3 ostatnie miesiące</t>
  </si>
  <si>
    <t>375 - pracujemy w 2 zakładach pracy w miejscu zam.</t>
  </si>
  <si>
    <t>450 - pracujemy w 2 zakładach pracy i dojeżdżamy</t>
  </si>
  <si>
    <t xml:space="preserve"> /nazwisko i imię wnioskodawcy/</t>
  </si>
  <si>
    <t>O  ŚWIADCZENIE  SOCJALNE  Z  ZFŚS W SZKOLE PODSTAWOWEJ NR 2 W USTCE</t>
  </si>
  <si>
    <t>OŚWIADCZENIE  O  DOCHODACH  OSOBY  UPRAWNIONEJ UBIEGAJĄCEJ SIĘ</t>
  </si>
  <si>
    <t>MW</t>
  </si>
  <si>
    <t>I wiersz tabeli</t>
  </si>
  <si>
    <t>II wiersz tabeli</t>
  </si>
  <si>
    <t>III wiersz tabeli</t>
  </si>
  <si>
    <t>IV wiersz tabeli</t>
  </si>
  <si>
    <t>Wiersz w tabeli dochodów -  (I - IV)</t>
  </si>
  <si>
    <t>Nazwisko Imię</t>
  </si>
  <si>
    <t>Załacznik nr 4a</t>
  </si>
  <si>
    <t>Nazwiska i imiona: osoby uprawnionej i uprawnionych członków jego rodziny</t>
  </si>
  <si>
    <t>RAZEM:</t>
  </si>
  <si>
    <t>przychód oskładkowany składkami ZUS brutto</t>
  </si>
  <si>
    <t>minus składka emerytalna pracownika</t>
  </si>
  <si>
    <t>minus składka rentowa pracownika</t>
  </si>
  <si>
    <t>minus składka chorobowa</t>
  </si>
  <si>
    <t>76-270 Ustka</t>
  </si>
  <si>
    <t>data zmian do wersji 1,2</t>
  </si>
  <si>
    <t>Piotr Piątak</t>
  </si>
  <si>
    <t>Minimalne wynagrodzenie za pracę w II pólroczu 2023 roku wynosi:</t>
  </si>
  <si>
    <t>Minimalne wynagrodzenie za pracę w I pólroczu 2023 roku wynosi:</t>
  </si>
  <si>
    <t>Minimalne wynagrodzenie za pracę w I pólroczu 2024 roku wynosi:</t>
  </si>
  <si>
    <t>Minimalne wynagrodzenie za pracę w II pólroczu 2024 roku wynosi:</t>
  </si>
  <si>
    <t>Rok</t>
  </si>
  <si>
    <t>min. wynagrodzenie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</si>
</sst>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\ &quot;zł&quot;"/>
  </numFmts>
  <fonts count="45" x14ac:knownFonts="1">
    <font>
      <sz val="11"/>
      <color theme="1"/>
      <name val="Calibri"/>
      <family val="2"/>
      <charset val="238"/>
      <scheme val="minor"/>
    </font>
    <font>
      <sz val="10"/>
      <color rgb="FF202124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i/>
      <sz val="12"/>
      <color theme="1"/>
      <name val="Times New Roman"/>
      <family val="1"/>
    </font>
    <font>
      <u/>
      <sz val="11"/>
      <color theme="10"/>
      <name val="Calibri"/>
      <family val="2"/>
      <charset val="238"/>
      <scheme val="minor"/>
    </font>
    <font>
      <b/>
      <sz val="12"/>
      <color rgb="FFFF0000"/>
      <name val="Calibri"/>
      <family val="2"/>
    </font>
    <font>
      <b/>
      <sz val="11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</font>
    <font>
      <i/>
      <sz val="9"/>
      <color theme="1"/>
      <name val="Times New Roman"/>
      <family val="1"/>
    </font>
    <font>
      <sz val="18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4"/>
      <color rgb="FFFF0000"/>
      <name val="Calibri"/>
      <family val="2"/>
    </font>
    <font>
      <sz val="14"/>
      <color theme="1"/>
      <name val="Calibri Light"/>
      <family val="2"/>
      <scheme val="maj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3.7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BFDF9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217">
    <xf numFmtId="0" fontId="0" fillId="0" borderId="0" xfId="0"/>
    <xf numFmtId="9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/>
    <xf numFmtId="9" fontId="0" fillId="0" borderId="0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 indent="2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9" fontId="0" fillId="0" borderId="1" xfId="0" applyNumberFormat="1" applyBorder="1"/>
    <xf numFmtId="164" fontId="2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164" fontId="2" fillId="0" borderId="0" xfId="0" applyNumberFormat="1" applyFont="1" applyBorder="1"/>
    <xf numFmtId="0" fontId="0" fillId="0" borderId="32" xfId="0" applyBorder="1"/>
    <xf numFmtId="14" fontId="0" fillId="0" borderId="1" xfId="0" applyNumberFormat="1" applyBorder="1"/>
    <xf numFmtId="0" fontId="0" fillId="0" borderId="6" xfId="0" applyBorder="1"/>
    <xf numFmtId="0" fontId="22" fillId="0" borderId="7" xfId="1" applyBorder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0" fontId="0" fillId="0" borderId="0" xfId="0" applyFont="1" applyAlignment="1"/>
    <xf numFmtId="0" fontId="16" fillId="0" borderId="6" xfId="0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right" vertical="center" wrapText="1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vertical="center"/>
    </xf>
    <xf numFmtId="0" fontId="22" fillId="0" borderId="0" xfId="1" applyBorder="1"/>
    <xf numFmtId="0" fontId="0" fillId="0" borderId="1" xfId="0" applyBorder="1" applyAlignme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25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29" fillId="0" borderId="0" xfId="0" applyFont="1" applyAlignment="1">
      <alignment vertical="top"/>
    </xf>
    <xf numFmtId="0" fontId="29" fillId="0" borderId="0" xfId="0" applyFont="1" applyAlignment="1">
      <alignment horizontal="right" vertical="top"/>
    </xf>
    <xf numFmtId="0" fontId="0" fillId="0" borderId="0" xfId="0" applyAlignment="1"/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6" xfId="0" applyFont="1" applyFill="1" applyBorder="1" applyAlignment="1" applyProtection="1">
      <alignment vertical="center" wrapText="1"/>
      <protection locked="0"/>
    </xf>
    <xf numFmtId="1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164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164" fontId="14" fillId="0" borderId="1" xfId="0" applyNumberFormat="1" applyFont="1" applyFill="1" applyBorder="1" applyAlignment="1" applyProtection="1">
      <alignment horizontal="right" vertical="center" wrapText="1"/>
    </xf>
    <xf numFmtId="0" fontId="14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Border="1" applyAlignment="1">
      <alignment horizontal="righ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3" borderId="6" xfId="0" applyFont="1" applyFill="1" applyBorder="1" applyAlignment="1" applyProtection="1">
      <alignment horizontal="left" vertical="center" wrapText="1"/>
      <protection locked="0"/>
    </xf>
    <xf numFmtId="164" fontId="14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4" fillId="3" borderId="6" xfId="0" applyNumberFormat="1" applyFont="1" applyFill="1" applyBorder="1" applyAlignment="1" applyProtection="1">
      <alignment horizontal="right" vertical="center" wrapText="1"/>
      <protection locked="0"/>
    </xf>
    <xf numFmtId="14" fontId="21" fillId="0" borderId="1" xfId="0" applyNumberFormat="1" applyFont="1" applyBorder="1" applyAlignment="1" applyProtection="1">
      <alignment horizontal="center" vertical="center" wrapText="1"/>
      <protection locked="0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/>
    </xf>
    <xf numFmtId="9" fontId="34" fillId="0" borderId="3" xfId="0" applyNumberFormat="1" applyFont="1" applyBorder="1" applyAlignment="1">
      <alignment horizontal="center" vertical="center" wrapText="1"/>
    </xf>
    <xf numFmtId="9" fontId="34" fillId="0" borderId="1" xfId="0" applyNumberFormat="1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/>
    </xf>
    <xf numFmtId="9" fontId="36" fillId="0" borderId="3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39" fillId="0" borderId="2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 wrapText="1"/>
    </xf>
    <xf numFmtId="9" fontId="39" fillId="0" borderId="3" xfId="0" applyNumberFormat="1" applyFont="1" applyBorder="1" applyAlignment="1">
      <alignment horizontal="center" vertical="center"/>
    </xf>
    <xf numFmtId="0" fontId="39" fillId="0" borderId="1" xfId="0" applyNumberFormat="1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64" fontId="2" fillId="0" borderId="1" xfId="0" applyNumberFormat="1" applyFont="1" applyBorder="1" applyAlignment="1">
      <alignment vertical="center" wrapText="1"/>
    </xf>
    <xf numFmtId="165" fontId="0" fillId="0" borderId="0" xfId="0" applyNumberForma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42" fillId="5" borderId="1" xfId="0" applyNumberFormat="1" applyFont="1" applyFill="1" applyBorder="1" applyAlignment="1" applyProtection="1">
      <alignment vertical="center"/>
      <protection locked="0"/>
    </xf>
    <xf numFmtId="164" fontId="42" fillId="5" borderId="1" xfId="0" applyNumberFormat="1" applyFont="1" applyFill="1" applyBorder="1" applyAlignment="1" applyProtection="1">
      <alignment horizontal="right" vertical="center"/>
      <protection locked="0"/>
    </xf>
    <xf numFmtId="164" fontId="43" fillId="5" borderId="3" xfId="0" applyNumberFormat="1" applyFont="1" applyFill="1" applyBorder="1" applyAlignment="1">
      <alignment horizontal="right" vertical="center" wrapText="1"/>
    </xf>
    <xf numFmtId="0" fontId="44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9" fontId="0" fillId="0" borderId="0" xfId="0" applyNumberForma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4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/>
    </xf>
    <xf numFmtId="0" fontId="33" fillId="3" borderId="0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left" vertical="top"/>
    </xf>
    <xf numFmtId="0" fontId="14" fillId="3" borderId="0" xfId="0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6" fillId="0" borderId="2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43" fillId="5" borderId="6" xfId="0" applyNumberFormat="1" applyFont="1" applyFill="1" applyBorder="1" applyAlignment="1">
      <alignment horizontal="right" vertical="center" wrapText="1"/>
    </xf>
    <xf numFmtId="164" fontId="43" fillId="5" borderId="32" xfId="0" applyNumberFormat="1" applyFont="1" applyFill="1" applyBorder="1" applyAlignment="1">
      <alignment horizontal="right" vertical="center" wrapText="1"/>
    </xf>
    <xf numFmtId="164" fontId="43" fillId="5" borderId="7" xfId="0" applyNumberFormat="1" applyFont="1" applyFill="1" applyBorder="1" applyAlignment="1">
      <alignment horizontal="right" vertical="center" wrapText="1"/>
    </xf>
  </cellXfs>
  <cellStyles count="2">
    <cellStyle name="Hiperłącze" xfId="1" builtinId="8"/>
    <cellStyle name="Normalny" xfId="0" builtinId="0"/>
  </cellStyles>
  <dxfs count="1">
    <dxf>
      <font>
        <b/>
        <i val="0"/>
        <strike val="0"/>
        <color rgb="FFFF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2F7FC"/>
      <color rgb="FFFBF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od@sp2.ustka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showRowColHeaders="0" tabSelected="1" zoomScale="160" zoomScaleNormal="160" workbookViewId="0">
      <selection activeCell="B15" sqref="B15:F15"/>
    </sheetView>
  </sheetViews>
  <sheetFormatPr defaultRowHeight="14.4" x14ac:dyDescent="0.3"/>
  <cols>
    <col min="1" max="1" width="26.44140625" customWidth="1"/>
    <col min="2" max="2" width="4.5546875" customWidth="1"/>
    <col min="3" max="4" width="17.6640625" customWidth="1"/>
    <col min="5" max="6" width="23" customWidth="1"/>
    <col min="7" max="7" width="8.88671875" customWidth="1"/>
  </cols>
  <sheetData>
    <row r="1" spans="1:7" ht="54" customHeight="1" x14ac:dyDescent="0.3">
      <c r="B1" s="71" t="str">
        <f>CONCATENATE("Rok ",obliczenia!$B$3)</f>
        <v>Rok 2023</v>
      </c>
      <c r="F1" s="72" t="s">
        <v>65</v>
      </c>
    </row>
    <row r="2" spans="1:7" ht="18" x14ac:dyDescent="0.35">
      <c r="B2" s="138" t="s">
        <v>13</v>
      </c>
      <c r="C2" s="138"/>
      <c r="D2" s="138"/>
      <c r="E2" s="138"/>
      <c r="F2" s="138"/>
    </row>
    <row r="3" spans="1:7" ht="24" customHeight="1" x14ac:dyDescent="0.35">
      <c r="B3" s="138" t="s">
        <v>14</v>
      </c>
      <c r="C3" s="138"/>
      <c r="D3" s="138"/>
      <c r="E3" s="138"/>
      <c r="F3" s="138"/>
    </row>
    <row r="4" spans="1:7" ht="31.8" customHeight="1" x14ac:dyDescent="0.3"/>
    <row r="5" spans="1:7" ht="15" thickBot="1" x14ac:dyDescent="0.35">
      <c r="C5" s="139"/>
      <c r="D5" s="139"/>
    </row>
    <row r="6" spans="1:7" ht="36" customHeight="1" x14ac:dyDescent="0.3">
      <c r="B6" s="140" t="s">
        <v>2</v>
      </c>
      <c r="C6" s="141" t="s">
        <v>0</v>
      </c>
      <c r="D6" s="142"/>
      <c r="E6" s="147" t="s">
        <v>1</v>
      </c>
      <c r="F6" s="148"/>
    </row>
    <row r="7" spans="1:7" ht="18" customHeight="1" x14ac:dyDescent="0.3">
      <c r="B7" s="140"/>
      <c r="C7" s="143"/>
      <c r="D7" s="144"/>
      <c r="E7" s="149" t="s">
        <v>64</v>
      </c>
      <c r="F7" s="150"/>
    </row>
    <row r="8" spans="1:7" ht="17.399999999999999" customHeight="1" x14ac:dyDescent="0.3">
      <c r="B8" s="140"/>
      <c r="C8" s="145"/>
      <c r="D8" s="146"/>
      <c r="E8" s="40" t="s">
        <v>47</v>
      </c>
      <c r="F8" s="41" t="s">
        <v>48</v>
      </c>
    </row>
    <row r="9" spans="1:7" ht="29.4" customHeight="1" x14ac:dyDescent="0.3">
      <c r="B9" s="98">
        <v>1</v>
      </c>
      <c r="C9" s="99">
        <v>0</v>
      </c>
      <c r="D9" s="100">
        <f>obliczenia!$B$4</f>
        <v>3600</v>
      </c>
      <c r="E9" s="101">
        <v>0.25</v>
      </c>
      <c r="F9" s="102">
        <f>ROUND(obliczenia!$B$4*E9,0)</f>
        <v>900</v>
      </c>
    </row>
    <row r="10" spans="1:7" ht="29.4" customHeight="1" x14ac:dyDescent="0.3">
      <c r="A10" s="1"/>
      <c r="B10" s="98">
        <v>2</v>
      </c>
      <c r="C10" s="103">
        <f>D9+1</f>
        <v>3601</v>
      </c>
      <c r="D10" s="104">
        <f>ROUND(obliczenia!$B$4*obliczenia!L26,0)</f>
        <v>4788</v>
      </c>
      <c r="E10" s="101">
        <v>0.2</v>
      </c>
      <c r="F10" s="102">
        <f>ROUND(obliczenia!$B$4*E10,0)</f>
        <v>720</v>
      </c>
      <c r="G10" s="1"/>
    </row>
    <row r="11" spans="1:7" ht="29.4" customHeight="1" x14ac:dyDescent="0.3">
      <c r="B11" s="98">
        <v>3</v>
      </c>
      <c r="C11" s="99">
        <f>D10+1</f>
        <v>4789</v>
      </c>
      <c r="D11" s="104">
        <f>ROUND(C11*obliczenia!L27,0)</f>
        <v>6369</v>
      </c>
      <c r="E11" s="101">
        <v>0.15</v>
      </c>
      <c r="F11" s="102">
        <f>ROUND(obliczenia!$B$4*E11,0)</f>
        <v>540</v>
      </c>
      <c r="G11" s="1"/>
    </row>
    <row r="12" spans="1:7" ht="29.4" customHeight="1" thickBot="1" x14ac:dyDescent="0.35">
      <c r="B12" s="98">
        <v>4</v>
      </c>
      <c r="C12" s="105">
        <f>D11+1</f>
        <v>6370</v>
      </c>
      <c r="D12" s="106" t="str">
        <f>CONCATENATE("powyżej ",C12)</f>
        <v>powyżej 6370</v>
      </c>
      <c r="E12" s="101">
        <v>0.1</v>
      </c>
      <c r="F12" s="102">
        <f>ROUND(obliczenia!$B$4*E12,0)</f>
        <v>360</v>
      </c>
    </row>
    <row r="15" spans="1:7" x14ac:dyDescent="0.3">
      <c r="B15" s="137" t="str">
        <f>CONCATENATE(IF(obliczenia!$B$4=3490,obliczenia!$M$33,IF(obliczenia!$B$4=3600,obliczenia!$M$34,IF(obliczenia!$B$4=4242,obliczenia!$B$35,IF(obliczenia!$B$4=4300,obliczenia!$B$36,""))))," ",obliczenia!B4," zł")</f>
        <v>Minimalne wynagrodzenie za pracę w II pólroczu 2023 roku wynosi: 3600 zł</v>
      </c>
      <c r="C15" s="137"/>
      <c r="D15" s="137"/>
      <c r="E15" s="137"/>
      <c r="F15" s="137"/>
      <c r="G15" s="2"/>
    </row>
  </sheetData>
  <sheetProtection algorithmName="SHA-512" hashValue="+pJBT7XYdqdB+QNZEm7b/HGz/X0j4i4GSfm9rFmu68Z3gBWcJOz00PCwpzNpOYw3rCklSekreMWfJ1M9i7BV2Q==" saltValue="D/UGf72s7Epfd+BbmZA/hw==" spinCount="100000" sheet="1" objects="1" scenarios="1"/>
  <mergeCells count="8">
    <mergeCell ref="B15:F15"/>
    <mergeCell ref="B2:F2"/>
    <mergeCell ref="B3:F3"/>
    <mergeCell ref="C5:D5"/>
    <mergeCell ref="B6:B8"/>
    <mergeCell ref="C6:D8"/>
    <mergeCell ref="E6:F6"/>
    <mergeCell ref="E7:F7"/>
  </mergeCells>
  <pageMargins left="0.70866141732283472" right="0.70866141732283472" top="1.3385826771653544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showGridLines="0" showRowColHeaders="0" topLeftCell="A7" zoomScale="115" zoomScaleNormal="115" workbookViewId="0">
      <selection activeCell="B16" sqref="B16"/>
    </sheetView>
  </sheetViews>
  <sheetFormatPr defaultRowHeight="14.4" x14ac:dyDescent="0.3"/>
  <cols>
    <col min="2" max="2" width="3.77734375" customWidth="1"/>
    <col min="3" max="4" width="15.109375" customWidth="1"/>
    <col min="5" max="8" width="29.5546875" customWidth="1"/>
    <col min="9" max="9" width="8.88671875" customWidth="1"/>
  </cols>
  <sheetData>
    <row r="1" spans="2:9" ht="27" customHeight="1" x14ac:dyDescent="0.3">
      <c r="B1" s="73" t="str">
        <f>CONCATENATE("Rok ",obliczenia!$B$3)</f>
        <v>Rok 2023</v>
      </c>
      <c r="H1" s="4" t="s">
        <v>3</v>
      </c>
    </row>
    <row r="3" spans="2:9" ht="18" x14ac:dyDescent="0.3">
      <c r="C3" s="151" t="s">
        <v>5</v>
      </c>
      <c r="D3" s="151"/>
      <c r="E3" s="151"/>
      <c r="F3" s="151"/>
      <c r="G3" s="151"/>
      <c r="H3" s="151"/>
    </row>
    <row r="5" spans="2:9" ht="18.600000000000001" thickBot="1" x14ac:dyDescent="0.4">
      <c r="D5" s="5"/>
      <c r="E5" s="109" t="s">
        <v>54</v>
      </c>
      <c r="F5" s="109" t="s">
        <v>52</v>
      </c>
      <c r="G5" s="109" t="s">
        <v>53</v>
      </c>
      <c r="H5" s="109" t="s">
        <v>55</v>
      </c>
    </row>
    <row r="6" spans="2:9" ht="95.4" customHeight="1" x14ac:dyDescent="0.3">
      <c r="B6" s="160" t="s">
        <v>2</v>
      </c>
      <c r="C6" s="154" t="s">
        <v>4</v>
      </c>
      <c r="D6" s="155"/>
      <c r="E6" s="29" t="s">
        <v>59</v>
      </c>
      <c r="F6" s="26" t="s">
        <v>60</v>
      </c>
      <c r="G6" s="26" t="s">
        <v>61</v>
      </c>
      <c r="H6" s="23" t="s">
        <v>58</v>
      </c>
    </row>
    <row r="7" spans="2:9" ht="31.2" x14ac:dyDescent="0.3">
      <c r="B7" s="161"/>
      <c r="C7" s="156"/>
      <c r="D7" s="157"/>
      <c r="E7" s="25" t="s">
        <v>50</v>
      </c>
      <c r="F7" s="28" t="s">
        <v>6</v>
      </c>
      <c r="G7" s="28" t="s">
        <v>7</v>
      </c>
      <c r="H7" s="30" t="s">
        <v>8</v>
      </c>
    </row>
    <row r="8" spans="2:9" ht="40.799999999999997" customHeight="1" x14ac:dyDescent="0.3">
      <c r="B8" s="161"/>
      <c r="C8" s="156"/>
      <c r="D8" s="157"/>
      <c r="E8" s="24" t="s">
        <v>49</v>
      </c>
      <c r="F8" s="24" t="s">
        <v>49</v>
      </c>
      <c r="G8" s="24" t="s">
        <v>49</v>
      </c>
      <c r="H8" s="152" t="s">
        <v>51</v>
      </c>
    </row>
    <row r="9" spans="2:9" ht="46.2" customHeight="1" x14ac:dyDescent="0.3">
      <c r="B9" s="162"/>
      <c r="C9" s="158"/>
      <c r="D9" s="159"/>
      <c r="E9" s="31" t="str">
        <f>CONCATENATE("Limit roczny ",obliczenia!J15," na jedno dziecko")</f>
        <v>Limit roczny 1800 na jedno dziecko</v>
      </c>
      <c r="F9" s="31" t="str">
        <f>IF(obliczenia!$B$4=3600,CONCATENATE("Minimalne wynagrodzenie za pracę w II pólroczu ",obliczenia!$B$3," roku wynosi w złotych: ",obliczenia!$B$4," zł"),CONCATENATE("Minimalne wynagrodzenie za pracę w I pólroczu ",obliczenia!$B$3," roku wynosi w złotych: ",obliczenia!$B$4," zł"))</f>
        <v>Minimalne wynagrodzenie za pracę w II pólroczu 2023 roku wynosi w złotych: 3600 zł</v>
      </c>
      <c r="G9" s="31" t="str">
        <f>CONCATENATE("Limit łącznie ",obliczenia!J12," zł na rok dla uprawnionego i uprawnionych członków jego rodziny")</f>
        <v>Limit łącznie 864 zł na rok dla uprawnionego i uprawnionych członków jego rodziny</v>
      </c>
      <c r="H9" s="153"/>
    </row>
    <row r="10" spans="2:9" ht="46.8" customHeight="1" x14ac:dyDescent="0.3">
      <c r="B10" s="97">
        <v>1</v>
      </c>
      <c r="C10" s="88">
        <v>0</v>
      </c>
      <c r="D10" s="89">
        <f>obliczenia!$B$4</f>
        <v>3600</v>
      </c>
      <c r="E10" s="90">
        <v>0.8</v>
      </c>
      <c r="F10" s="91">
        <v>0.7</v>
      </c>
      <c r="G10" s="91">
        <v>0.7</v>
      </c>
      <c r="H10" s="91">
        <v>0.8</v>
      </c>
    </row>
    <row r="11" spans="2:9" ht="46.8" customHeight="1" x14ac:dyDescent="0.3">
      <c r="B11" s="97">
        <v>2</v>
      </c>
      <c r="C11" s="92">
        <f>D10+1</f>
        <v>3601</v>
      </c>
      <c r="D11" s="93">
        <f>ROUND(obliczenia!$B$4*obliczenia!L26,0)</f>
        <v>4788</v>
      </c>
      <c r="E11" s="90">
        <v>0.7</v>
      </c>
      <c r="F11" s="91">
        <v>0.6</v>
      </c>
      <c r="G11" s="91">
        <v>0.6</v>
      </c>
      <c r="H11" s="91">
        <v>0.7</v>
      </c>
      <c r="I11" s="6"/>
    </row>
    <row r="12" spans="2:9" ht="46.8" customHeight="1" x14ac:dyDescent="0.3">
      <c r="B12" s="97">
        <v>3</v>
      </c>
      <c r="C12" s="88">
        <f>D11+1</f>
        <v>4789</v>
      </c>
      <c r="D12" s="93">
        <f>ROUND(C12*obliczenia!L27,0)</f>
        <v>6369</v>
      </c>
      <c r="E12" s="90">
        <v>0.6</v>
      </c>
      <c r="F12" s="91">
        <v>0.5</v>
      </c>
      <c r="G12" s="91">
        <v>0.5</v>
      </c>
      <c r="H12" s="91">
        <v>0.6</v>
      </c>
      <c r="I12" s="7"/>
    </row>
    <row r="13" spans="2:9" ht="46.8" customHeight="1" thickBot="1" x14ac:dyDescent="0.35">
      <c r="B13" s="97">
        <v>4</v>
      </c>
      <c r="C13" s="94">
        <f>D12+1</f>
        <v>6370</v>
      </c>
      <c r="D13" s="95" t="str">
        <f>CONCATENATE("powyżej ",C13)</f>
        <v>powyżej 6370</v>
      </c>
      <c r="E13" s="90">
        <v>0.5</v>
      </c>
      <c r="F13" s="91">
        <v>0.4</v>
      </c>
      <c r="G13" s="91">
        <v>0.4</v>
      </c>
      <c r="H13" s="91">
        <v>0.5</v>
      </c>
      <c r="I13" s="7"/>
    </row>
    <row r="14" spans="2:9" x14ac:dyDescent="0.3">
      <c r="B14" s="3"/>
    </row>
    <row r="15" spans="2:9" x14ac:dyDescent="0.3">
      <c r="B15" s="54" t="str">
        <f>CONCATENATE(IF(obliczenia!$B$4=3490,obliczenia!$M$33,IF(obliczenia!$B$4=3600,obliczenia!$M$34,IF(obliczenia!$B$4=4242,obliczenia!$B$35,IF(obliczenia!$B$4=4300,obliczenia!$B$36,""))))," ",obliczenia!B4," zł")</f>
        <v>Minimalne wynagrodzenie za pracę w II pólroczu 2023 roku wynosi: 3600 zł</v>
      </c>
    </row>
  </sheetData>
  <sheetProtection algorithmName="SHA-512" hashValue="myiI1BL/npOAYsB3M7pON7LWvZMLh5QFfiuzKGxNU+5QF/CWxI1UITCi9ZfieKBRi+UK4w66HfS65veLeiZgQA==" saltValue="L4gQh107z0aGcCpwOCK+CQ==" spinCount="100000" sheet="1" objects="1" scenarios="1"/>
  <mergeCells count="4">
    <mergeCell ref="C3:H3"/>
    <mergeCell ref="H8:H9"/>
    <mergeCell ref="C6:D9"/>
    <mergeCell ref="B6:B9"/>
  </mergeCells>
  <pageMargins left="0.31496062992125984" right="0.31496062992125984" top="1.1417322834645669" bottom="0.35433070866141736" header="0.31496062992125984" footer="0.31496062992125984"/>
  <pageSetup paperSize="9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showGridLines="0" showRowColHeaders="0" topLeftCell="A7" zoomScale="115" zoomScaleNormal="115" workbookViewId="0">
      <selection activeCell="B17" sqref="B17:E17"/>
    </sheetView>
  </sheetViews>
  <sheetFormatPr defaultRowHeight="14.4" x14ac:dyDescent="0.3"/>
  <cols>
    <col min="2" max="2" width="7" customWidth="1"/>
    <col min="3" max="3" width="20.6640625" customWidth="1"/>
    <col min="4" max="4" width="21.33203125" customWidth="1"/>
    <col min="5" max="5" width="31.6640625" customWidth="1"/>
    <col min="6" max="6" width="29.6640625" customWidth="1"/>
    <col min="7" max="7" width="8.88671875" customWidth="1"/>
  </cols>
  <sheetData>
    <row r="1" spans="2:7" x14ac:dyDescent="0.3">
      <c r="B1" s="8" t="str">
        <f>CONCATENATE("Rok ",obliczenia!$B$3)</f>
        <v>Rok 2023</v>
      </c>
      <c r="F1" s="4" t="s">
        <v>10</v>
      </c>
    </row>
    <row r="5" spans="2:7" ht="18" x14ac:dyDescent="0.35">
      <c r="B5" s="138" t="s">
        <v>9</v>
      </c>
      <c r="C5" s="138"/>
      <c r="D5" s="138"/>
      <c r="E5" s="138"/>
      <c r="F5" s="138"/>
    </row>
    <row r="6" spans="2:7" ht="18" x14ac:dyDescent="0.35">
      <c r="B6" s="138" t="s">
        <v>45</v>
      </c>
      <c r="C6" s="138"/>
      <c r="D6" s="138"/>
      <c r="E6" s="138"/>
      <c r="F6" s="138"/>
    </row>
    <row r="8" spans="2:7" ht="15" thickBot="1" x14ac:dyDescent="0.35"/>
    <row r="9" spans="2:7" ht="46.8" customHeight="1" x14ac:dyDescent="0.3">
      <c r="B9" s="165" t="s">
        <v>2</v>
      </c>
      <c r="C9" s="167" t="s">
        <v>11</v>
      </c>
      <c r="D9" s="168"/>
      <c r="E9" s="163" t="s">
        <v>12</v>
      </c>
      <c r="F9" s="164"/>
    </row>
    <row r="10" spans="2:7" ht="46.8" customHeight="1" x14ac:dyDescent="0.3">
      <c r="B10" s="166"/>
      <c r="C10" s="169"/>
      <c r="D10" s="170"/>
      <c r="E10" s="117" t="s">
        <v>47</v>
      </c>
      <c r="F10" s="118" t="str">
        <f>CONCATENATE("kwotowo dla MW= ",obliczenia!$B$4," zł w ",obliczenia!B3, " roku")</f>
        <v>kwotowo dla MW= 3600 zł w 2023 roku</v>
      </c>
    </row>
    <row r="11" spans="2:7" ht="45.6" customHeight="1" x14ac:dyDescent="0.3">
      <c r="B11" s="110">
        <v>1</v>
      </c>
      <c r="C11" s="111">
        <v>0</v>
      </c>
      <c r="D11" s="107">
        <f>obliczenia!B4</f>
        <v>3600</v>
      </c>
      <c r="E11" s="112">
        <v>0.7</v>
      </c>
      <c r="F11" s="113">
        <f>E11*obliczenia!$B$4</f>
        <v>2520</v>
      </c>
      <c r="G11" s="1"/>
    </row>
    <row r="12" spans="2:7" ht="45.6" customHeight="1" x14ac:dyDescent="0.3">
      <c r="B12" s="110">
        <v>2</v>
      </c>
      <c r="C12" s="108">
        <f>D11+1</f>
        <v>3601</v>
      </c>
      <c r="D12" s="114">
        <f>ROUND(obliczenia!B4*obliczenia!L26,0)</f>
        <v>4788</v>
      </c>
      <c r="E12" s="112">
        <v>0.6</v>
      </c>
      <c r="F12" s="113">
        <f>E12*obliczenia!$B$4</f>
        <v>2160</v>
      </c>
      <c r="G12" s="1"/>
    </row>
    <row r="13" spans="2:7" ht="45.6" customHeight="1" x14ac:dyDescent="0.3">
      <c r="B13" s="110">
        <v>3</v>
      </c>
      <c r="C13" s="111">
        <f>D12+1</f>
        <v>4789</v>
      </c>
      <c r="D13" s="114">
        <f>ROUND(C13*obliczenia!L27,0)</f>
        <v>6369</v>
      </c>
      <c r="E13" s="112">
        <v>0.5</v>
      </c>
      <c r="F13" s="113">
        <f>E13*obliczenia!$B$4</f>
        <v>1800</v>
      </c>
      <c r="G13" s="1"/>
    </row>
    <row r="14" spans="2:7" ht="45.6" customHeight="1" thickBot="1" x14ac:dyDescent="0.35">
      <c r="B14" s="110">
        <v>4</v>
      </c>
      <c r="C14" s="115">
        <f>D13+1</f>
        <v>6370</v>
      </c>
      <c r="D14" s="116" t="str">
        <f>CONCATENATE("powyżej ",C14)</f>
        <v>powyżej 6370</v>
      </c>
      <c r="E14" s="112">
        <v>0.4</v>
      </c>
      <c r="F14" s="113">
        <f>E14*obliczenia!$B$4</f>
        <v>1440</v>
      </c>
      <c r="G14" s="1"/>
    </row>
    <row r="17" spans="2:6" x14ac:dyDescent="0.3">
      <c r="B17" s="137" t="str">
        <f>CONCATENATE(IF(obliczenia!$B$4=3490,obliczenia!$M$33,IF(obliczenia!$B$4=3600,obliczenia!$M$34,IF(obliczenia!$B$4=4242,obliczenia!$B$35,IF(obliczenia!$B$4=4300,obliczenia!$B$36,""))))," ",obliczenia!B4," zł")</f>
        <v>Minimalne wynagrodzenie za pracę w II pólroczu 2023 roku wynosi: 3600 zł</v>
      </c>
      <c r="C17" s="137"/>
      <c r="D17" s="137"/>
      <c r="E17" s="137"/>
      <c r="F17" s="22"/>
    </row>
  </sheetData>
  <sheetProtection algorithmName="SHA-512" hashValue="LPzB7CLhATtaKqTk3kF3XzIpQ3jTCpMjOx1d7Wjxln+0nOcAgHWPUWCGs2fb+keZJ24NmjsglXF+GGIlJpRqJA==" saltValue="rAuDzA6Q26yrhY8mCWx8pA==" spinCount="100000" sheet="1" objects="1" scenarios="1"/>
  <mergeCells count="6">
    <mergeCell ref="B17:E17"/>
    <mergeCell ref="E9:F9"/>
    <mergeCell ref="B9:B10"/>
    <mergeCell ref="C9:D10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showGridLines="0" showRowColHeaders="0" topLeftCell="A2" zoomScale="115" zoomScaleNormal="115" workbookViewId="0">
      <selection activeCell="B18" sqref="B18"/>
    </sheetView>
  </sheetViews>
  <sheetFormatPr defaultRowHeight="14.4" x14ac:dyDescent="0.3"/>
  <cols>
    <col min="1" max="1" width="6.5546875" customWidth="1"/>
    <col min="2" max="2" width="3.77734375" customWidth="1"/>
    <col min="3" max="4" width="14.77734375" customWidth="1"/>
    <col min="5" max="7" width="37.44140625" customWidth="1"/>
    <col min="8" max="8" width="8.88671875" customWidth="1"/>
  </cols>
  <sheetData>
    <row r="1" spans="2:8" s="73" customFormat="1" ht="24.6" customHeight="1" x14ac:dyDescent="0.3">
      <c r="B1" s="73" t="str">
        <f>CONCATENATE("Rok ",obliczenia!$B$3)</f>
        <v>Rok 2023</v>
      </c>
      <c r="G1" s="4" t="s">
        <v>17</v>
      </c>
    </row>
    <row r="2" spans="2:8" ht="17.399999999999999" customHeight="1" x14ac:dyDescent="0.3"/>
    <row r="3" spans="2:8" ht="32.4" customHeight="1" x14ac:dyDescent="0.3">
      <c r="C3" s="151" t="s">
        <v>18</v>
      </c>
      <c r="D3" s="151"/>
      <c r="E3" s="151"/>
      <c r="F3" s="151"/>
      <c r="G3" s="151"/>
    </row>
    <row r="4" spans="2:8" ht="60" customHeight="1" thickBot="1" x14ac:dyDescent="0.35"/>
    <row r="5" spans="2:8" ht="14.4" customHeight="1" x14ac:dyDescent="0.3">
      <c r="B5" s="160" t="s">
        <v>2</v>
      </c>
      <c r="C5" s="154" t="s">
        <v>4</v>
      </c>
      <c r="D5" s="155"/>
      <c r="E5" s="172" t="s">
        <v>56</v>
      </c>
      <c r="F5" s="173"/>
      <c r="G5" s="171" t="s">
        <v>21</v>
      </c>
    </row>
    <row r="6" spans="2:8" ht="62.4" customHeight="1" x14ac:dyDescent="0.3">
      <c r="B6" s="161"/>
      <c r="C6" s="156"/>
      <c r="D6" s="157"/>
      <c r="E6" s="24" t="s">
        <v>62</v>
      </c>
      <c r="F6" s="27" t="s">
        <v>63</v>
      </c>
      <c r="G6" s="171"/>
    </row>
    <row r="7" spans="2:8" ht="15.6" x14ac:dyDescent="0.3">
      <c r="B7" s="161"/>
      <c r="C7" s="156"/>
      <c r="D7" s="157"/>
      <c r="E7" s="25" t="s">
        <v>19</v>
      </c>
      <c r="F7" s="28" t="s">
        <v>20</v>
      </c>
      <c r="G7" s="28" t="s">
        <v>20</v>
      </c>
    </row>
    <row r="8" spans="2:8" ht="31.2" x14ac:dyDescent="0.3">
      <c r="B8" s="161"/>
      <c r="C8" s="156"/>
      <c r="D8" s="157"/>
      <c r="E8" s="24" t="s">
        <v>57</v>
      </c>
      <c r="F8" s="24" t="s">
        <v>49</v>
      </c>
      <c r="G8" s="24" t="s">
        <v>49</v>
      </c>
    </row>
    <row r="9" spans="2:8" ht="18" x14ac:dyDescent="0.3">
      <c r="B9" s="162"/>
      <c r="C9" s="158"/>
      <c r="D9" s="159"/>
      <c r="E9" s="96" t="str">
        <f>CONCATENATE("Limit roczny ",obliczenia!J14," zł")</f>
        <v>Limit roczny 2988 zł</v>
      </c>
      <c r="F9" s="96" t="str">
        <f>CONCATENATE("Limit roczny ",obliczenia!J14," zł")</f>
        <v>Limit roczny 2988 zł</v>
      </c>
      <c r="G9" s="96" t="str">
        <f>CONCATENATE("Limit roczny ",obliczenia!J13," zł")</f>
        <v>Limit roczny 1188 zł</v>
      </c>
    </row>
    <row r="10" spans="2:8" ht="39.6" customHeight="1" x14ac:dyDescent="0.3">
      <c r="B10" s="97">
        <v>1</v>
      </c>
      <c r="C10" s="88">
        <v>0</v>
      </c>
      <c r="D10" s="89">
        <f>obliczenia!$B$4</f>
        <v>3600</v>
      </c>
      <c r="E10" s="90">
        <v>0.7</v>
      </c>
      <c r="F10" s="91">
        <v>0.8</v>
      </c>
      <c r="G10" s="91">
        <v>0.5</v>
      </c>
    </row>
    <row r="11" spans="2:8" ht="39.6" customHeight="1" x14ac:dyDescent="0.3">
      <c r="B11" s="97">
        <v>2</v>
      </c>
      <c r="C11" s="92">
        <f>D10+1</f>
        <v>3601</v>
      </c>
      <c r="D11" s="93">
        <f>ROUND(obliczenia!$B$4*obliczenia!L26,0)</f>
        <v>4788</v>
      </c>
      <c r="E11" s="90">
        <v>0.55000000000000004</v>
      </c>
      <c r="F11" s="91">
        <v>0.6</v>
      </c>
      <c r="G11" s="91">
        <v>0.4</v>
      </c>
      <c r="H11" s="6"/>
    </row>
    <row r="12" spans="2:8" ht="39.6" customHeight="1" x14ac:dyDescent="0.3">
      <c r="B12" s="97">
        <v>3</v>
      </c>
      <c r="C12" s="88">
        <f>D11+1</f>
        <v>4789</v>
      </c>
      <c r="D12" s="93">
        <f>ROUND(C12*obliczenia!L27,0)</f>
        <v>6369</v>
      </c>
      <c r="E12" s="90">
        <v>0.4</v>
      </c>
      <c r="F12" s="91">
        <v>0.45</v>
      </c>
      <c r="G12" s="91">
        <v>0.3</v>
      </c>
      <c r="H12" s="7"/>
    </row>
    <row r="13" spans="2:8" ht="39.6" customHeight="1" thickBot="1" x14ac:dyDescent="0.35">
      <c r="B13" s="97">
        <v>4</v>
      </c>
      <c r="C13" s="94">
        <f>D12+1</f>
        <v>6370</v>
      </c>
      <c r="D13" s="95" t="str">
        <f>CONCATENATE("powyżej ",C13)</f>
        <v>powyżej 6370</v>
      </c>
      <c r="E13" s="90">
        <v>0.3</v>
      </c>
      <c r="F13" s="91">
        <v>0.3</v>
      </c>
      <c r="G13" s="91">
        <v>0.2</v>
      </c>
      <c r="H13" s="7"/>
    </row>
    <row r="14" spans="2:8" x14ac:dyDescent="0.3">
      <c r="B14" s="3"/>
    </row>
    <row r="15" spans="2:8" hidden="1" x14ac:dyDescent="0.3"/>
    <row r="16" spans="2:8" hidden="1" x14ac:dyDescent="0.3"/>
    <row r="17" spans="2:7" x14ac:dyDescent="0.3">
      <c r="B17" s="137" t="str">
        <f>CONCATENATE(IF(obliczenia!$B$4=3490,obliczenia!$M$33,IF(obliczenia!$B$4=3600,obliczenia!$M$34,IF(obliczenia!$B$4=4242,obliczenia!$B$35,IF(obliczenia!$B$4=4300,obliczenia!$B$36,""))))," ",obliczenia!B4," zł")</f>
        <v>Minimalne wynagrodzenie za pracę w II pólroczu 2023 roku wynosi: 3600 zł</v>
      </c>
      <c r="C17" s="137"/>
      <c r="D17" s="137"/>
      <c r="E17" s="137"/>
      <c r="F17" s="137"/>
      <c r="G17" s="137"/>
    </row>
  </sheetData>
  <sheetProtection algorithmName="SHA-512" hashValue="VpC0BNpqtmgAmZmxs4PlJNenl06SuExmNapAtvqRNUbfBwm6T1WsVbwVzAjdhvcdBQEuYhJ45dKoTc9sHgukvQ==" saltValue="ONZyTwJ2hm4jZReR/9IVXg==" spinCount="100000" sheet="1" objects="1" scenarios="1"/>
  <mergeCells count="6">
    <mergeCell ref="C3:G3"/>
    <mergeCell ref="B17:G17"/>
    <mergeCell ref="G5:G6"/>
    <mergeCell ref="C5:D9"/>
    <mergeCell ref="B5:B9"/>
    <mergeCell ref="E5:F5"/>
  </mergeCells>
  <pageMargins left="0.19685039370078741" right="0.11811023622047245" top="0.74803149606299213" bottom="0.74803149606299213" header="0.31496062992125984" footer="0.31496062992125984"/>
  <pageSetup paperSize="9" scale="9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"/>
  <sheetViews>
    <sheetView showGridLines="0" showRowColHeaders="0" zoomScale="130" zoomScaleNormal="130" workbookViewId="0">
      <selection activeCell="E8" sqref="E8"/>
    </sheetView>
  </sheetViews>
  <sheetFormatPr defaultRowHeight="14.4" x14ac:dyDescent="0.3"/>
  <cols>
    <col min="1" max="1" width="4" style="2" customWidth="1"/>
    <col min="2" max="2" width="4.44140625" style="2" customWidth="1"/>
    <col min="3" max="3" width="21" style="2" customWidth="1"/>
    <col min="4" max="4" width="16.6640625" style="2" customWidth="1"/>
    <col min="5" max="5" width="12.6640625" style="2" customWidth="1"/>
    <col min="6" max="6" width="6.21875" style="2" customWidth="1"/>
    <col min="7" max="7" width="37.77734375" style="2" customWidth="1"/>
    <col min="8" max="8" width="16.77734375" style="2" customWidth="1"/>
    <col min="9" max="9" width="8.88671875" style="2"/>
    <col min="10" max="10" width="18.33203125" style="2" customWidth="1"/>
    <col min="11" max="11" width="0" style="2" hidden="1" customWidth="1"/>
    <col min="12" max="15" width="8.88671875" style="2"/>
    <col min="16" max="16" width="8.88671875" style="2" customWidth="1"/>
    <col min="17" max="16384" width="8.88671875" style="2"/>
  </cols>
  <sheetData>
    <row r="1" spans="2:8" ht="29.4" customHeight="1" x14ac:dyDescent="0.3">
      <c r="B1" s="13"/>
      <c r="H1" s="61" t="s">
        <v>108</v>
      </c>
    </row>
    <row r="2" spans="2:8" ht="21" customHeight="1" x14ac:dyDescent="0.3">
      <c r="B2" s="184" t="s">
        <v>107</v>
      </c>
      <c r="C2" s="184"/>
      <c r="D2" s="184"/>
      <c r="E2" s="11"/>
      <c r="F2" s="11"/>
      <c r="G2" s="59" t="s">
        <v>82</v>
      </c>
      <c r="H2" s="87"/>
    </row>
    <row r="3" spans="2:8" ht="24" customHeight="1" x14ac:dyDescent="0.3">
      <c r="B3" s="185" t="s">
        <v>98</v>
      </c>
      <c r="C3" s="185"/>
      <c r="D3" s="185"/>
      <c r="E3" s="11"/>
      <c r="F3" s="11"/>
      <c r="G3" s="11"/>
    </row>
    <row r="4" spans="2:8" ht="27.6" customHeight="1" x14ac:dyDescent="0.3">
      <c r="B4" s="186" t="s">
        <v>115</v>
      </c>
      <c r="C4" s="186"/>
      <c r="D4" s="186"/>
      <c r="E4" s="11"/>
      <c r="F4" s="11"/>
      <c r="G4" s="11"/>
      <c r="H4" s="11"/>
    </row>
    <row r="5" spans="2:8" ht="1.8" customHeight="1" x14ac:dyDescent="0.3">
      <c r="B5" s="20"/>
      <c r="C5" s="21"/>
      <c r="D5" s="21"/>
    </row>
    <row r="6" spans="2:8" ht="21.6" customHeight="1" x14ac:dyDescent="0.3">
      <c r="B6" s="186"/>
      <c r="C6" s="186"/>
      <c r="D6" s="186"/>
    </row>
    <row r="7" spans="2:8" x14ac:dyDescent="0.3">
      <c r="B7" s="187" t="s">
        <v>33</v>
      </c>
      <c r="C7" s="187"/>
      <c r="D7" s="187"/>
    </row>
    <row r="8" spans="2:8" ht="22.8" customHeight="1" x14ac:dyDescent="0.3">
      <c r="B8" s="14"/>
    </row>
    <row r="9" spans="2:8" ht="17.399999999999999" x14ac:dyDescent="0.3">
      <c r="B9" s="174" t="s">
        <v>100</v>
      </c>
      <c r="C9" s="174"/>
      <c r="D9" s="174"/>
      <c r="E9" s="174"/>
      <c r="F9" s="174"/>
      <c r="G9" s="174"/>
      <c r="H9" s="174"/>
    </row>
    <row r="10" spans="2:8" ht="20.399999999999999" customHeight="1" x14ac:dyDescent="0.3">
      <c r="B10" s="174" t="s">
        <v>99</v>
      </c>
      <c r="C10" s="174"/>
      <c r="D10" s="174"/>
      <c r="E10" s="174"/>
      <c r="F10" s="174"/>
      <c r="G10" s="174"/>
      <c r="H10" s="174"/>
    </row>
    <row r="11" spans="2:8" x14ac:dyDescent="0.3">
      <c r="B11" s="15"/>
    </row>
    <row r="12" spans="2:8" ht="25.2" customHeight="1" x14ac:dyDescent="0.3">
      <c r="B12" s="183" t="s">
        <v>22</v>
      </c>
      <c r="C12" s="183"/>
      <c r="D12" s="183"/>
      <c r="E12" s="183"/>
      <c r="F12" s="183"/>
      <c r="G12" s="183"/>
      <c r="H12" s="183"/>
    </row>
    <row r="13" spans="2:8" ht="46.2" customHeight="1" x14ac:dyDescent="0.3">
      <c r="B13" s="192" t="s">
        <v>2</v>
      </c>
      <c r="C13" s="192" t="s">
        <v>109</v>
      </c>
      <c r="D13" s="179" t="s">
        <v>86</v>
      </c>
      <c r="E13" s="175" t="s">
        <v>23</v>
      </c>
      <c r="F13" s="176"/>
      <c r="G13" s="192" t="s">
        <v>46</v>
      </c>
      <c r="H13" s="55" t="s">
        <v>92</v>
      </c>
    </row>
    <row r="14" spans="2:8" ht="16.8" customHeight="1" x14ac:dyDescent="0.3">
      <c r="B14" s="192"/>
      <c r="C14" s="192"/>
      <c r="D14" s="180"/>
      <c r="E14" s="56" t="s">
        <v>34</v>
      </c>
      <c r="F14" s="56" t="s">
        <v>85</v>
      </c>
      <c r="G14" s="192"/>
      <c r="H14" s="60"/>
    </row>
    <row r="15" spans="2:8" ht="63.6" customHeight="1" x14ac:dyDescent="0.3">
      <c r="B15" s="57" t="s">
        <v>24</v>
      </c>
      <c r="C15" s="181" t="str">
        <f>CONCATENATE(B2," - wnioskodawca")</f>
        <v>Nazwisko Imię - wnioskodawca</v>
      </c>
      <c r="D15" s="182"/>
      <c r="E15" s="177"/>
      <c r="F15" s="178"/>
      <c r="G15" s="83" t="str">
        <f>CONCATENATE(obliczenia!E10,obliczenia!L17," ",obliczenia!E19,obliczenia!L18," ",obliczenia!E20,obliczenia!L19," ",obliczenia!E21,obliczenia!L20," ",obliczenia!E22)</f>
        <v xml:space="preserve">Pracownik SP2 Ustka    </v>
      </c>
      <c r="H15" s="80">
        <f>IF(H14=obliczenia!K28,"powyżej",obliczenia!G23)</f>
        <v>0</v>
      </c>
    </row>
    <row r="16" spans="2:8" ht="29.4" customHeight="1" x14ac:dyDescent="0.3">
      <c r="B16" s="57" t="s">
        <v>25</v>
      </c>
      <c r="C16" s="74"/>
      <c r="D16" s="60"/>
      <c r="E16" s="177"/>
      <c r="F16" s="178"/>
      <c r="G16" s="74"/>
      <c r="H16" s="85"/>
    </row>
    <row r="17" spans="2:11" ht="29.4" customHeight="1" x14ac:dyDescent="0.3">
      <c r="B17" s="58" t="s">
        <v>26</v>
      </c>
      <c r="C17" s="75"/>
      <c r="D17" s="60"/>
      <c r="E17" s="76"/>
      <c r="F17" s="77" t="str">
        <f>IF(E17="","",DATEDIF(E17,obliczenia!$K$23,"y"))</f>
        <v/>
      </c>
      <c r="G17" s="84"/>
      <c r="H17" s="86"/>
    </row>
    <row r="18" spans="2:11" ht="29.4" customHeight="1" x14ac:dyDescent="0.3">
      <c r="B18" s="58" t="s">
        <v>27</v>
      </c>
      <c r="C18" s="75"/>
      <c r="D18" s="60"/>
      <c r="E18" s="76"/>
      <c r="F18" s="77" t="str">
        <f>IF(E18="","",DATEDIF(E18,obliczenia!$K$23,"y"))</f>
        <v/>
      </c>
      <c r="G18" s="84"/>
      <c r="H18" s="86"/>
      <c r="K18" s="19">
        <f>5-COUNTBLANK(C15:C19)</f>
        <v>1</v>
      </c>
    </row>
    <row r="19" spans="2:11" ht="30.6" customHeight="1" x14ac:dyDescent="0.3">
      <c r="B19" s="58" t="s">
        <v>28</v>
      </c>
      <c r="C19" s="75"/>
      <c r="D19" s="60"/>
      <c r="E19" s="76"/>
      <c r="F19" s="77" t="str">
        <f>IF(E19="","",DATEDIF(E19,obliczenia!$K$23,"y"))</f>
        <v/>
      </c>
      <c r="G19" s="84"/>
      <c r="H19" s="86"/>
    </row>
    <row r="20" spans="2:11" ht="31.8" customHeight="1" x14ac:dyDescent="0.3">
      <c r="B20" s="197" t="str">
        <f>CONCATENATE("Wybierz z listy obok liczbę osób zamieszkującą wraz z wnioskodawcą (podpowiedź: ",K18,")")</f>
        <v>Wybierz z listy obok liczbę osób zamieszkującą wraz z wnioskodawcą (podpowiedź: 1)</v>
      </c>
      <c r="C20" s="198"/>
      <c r="D20" s="198"/>
      <c r="E20" s="198"/>
      <c r="F20" s="198"/>
      <c r="G20" s="198"/>
      <c r="H20" s="81">
        <v>3</v>
      </c>
    </row>
    <row r="21" spans="2:11" ht="31.8" customHeight="1" x14ac:dyDescent="0.3">
      <c r="B21" s="191" t="s">
        <v>29</v>
      </c>
      <c r="C21" s="191"/>
      <c r="D21" s="191"/>
      <c r="E21" s="191"/>
      <c r="F21" s="191"/>
      <c r="G21" s="191"/>
      <c r="H21" s="82">
        <f>IF(H14=obliczenia!K28,"powyżej",SUM(H15:H19))</f>
        <v>0</v>
      </c>
    </row>
    <row r="22" spans="2:11" ht="29.4" customHeight="1" x14ac:dyDescent="0.3">
      <c r="B22" s="194" t="s">
        <v>83</v>
      </c>
      <c r="C22" s="195"/>
      <c r="D22" s="195"/>
      <c r="E22" s="195"/>
      <c r="F22" s="195"/>
      <c r="G22" s="196"/>
      <c r="H22" s="82">
        <f>IF(H20="",0,IF(H14=obliczenia!K28,"powyżej",INT(IF(H20=0,"",H21/3/H20))))</f>
        <v>0</v>
      </c>
    </row>
    <row r="23" spans="2:11" ht="29.4" customHeight="1" x14ac:dyDescent="0.3">
      <c r="B23" s="191" t="s">
        <v>106</v>
      </c>
      <c r="C23" s="191"/>
      <c r="D23" s="191"/>
      <c r="E23" s="191"/>
      <c r="F23" s="191"/>
      <c r="G23" s="191"/>
      <c r="H23" s="130" t="str">
        <f>IF(H20="","",IF(oświadczenie!H22&lt;=obliczenia!K25,obliczenia!I25,IF(AND(oświadczenie!$H$22&gt;obliczenia!J26,oświadczenie!$H$22&lt;=obliczenia!K26),obliczenia!I26,IF(AND(oświadczenie!$H$22&gt;obliczenia!J27,oświadczenie!$H$22&lt;=obliczenia!K27),obliczenia!I27,IF(oświadczenie!$H$22&gt;obliczenia!J28,obliczenia!I28,IF(H14=obliczenia!K28,"powyżej",""))))))</f>
        <v>I wiersz tabeli</v>
      </c>
    </row>
    <row r="24" spans="2:11" ht="25.8" customHeight="1" x14ac:dyDescent="0.3">
      <c r="B24" s="193" t="s">
        <v>30</v>
      </c>
      <c r="C24" s="193"/>
      <c r="D24" s="193"/>
      <c r="E24" s="193"/>
      <c r="F24" s="193"/>
      <c r="G24" s="193"/>
      <c r="H24" s="193"/>
    </row>
    <row r="25" spans="2:11" x14ac:dyDescent="0.3">
      <c r="B25" s="16"/>
    </row>
    <row r="26" spans="2:11" ht="25.2" customHeight="1" x14ac:dyDescent="0.3">
      <c r="B26" s="16" t="s">
        <v>31</v>
      </c>
    </row>
    <row r="27" spans="2:11" ht="26.4" customHeight="1" x14ac:dyDescent="0.3">
      <c r="B27" s="34">
        <v>1</v>
      </c>
      <c r="C27" s="188" t="s">
        <v>66</v>
      </c>
      <c r="D27" s="188"/>
      <c r="E27" s="188"/>
      <c r="F27" s="188"/>
      <c r="G27" s="188"/>
      <c r="H27" s="188"/>
    </row>
    <row r="28" spans="2:11" ht="18.600000000000001" customHeight="1" x14ac:dyDescent="0.3">
      <c r="B28" s="34">
        <v>2</v>
      </c>
      <c r="C28" s="188" t="str">
        <f>CONCATENATE("Inspektorem Ochrony Danych jest ",obliczenia!M8,", kontakt e-mail: ",obliczenia!M9,".")</f>
        <v>Inspektorem Ochrony Danych jest Piotr Piątak, kontakt e-mail: iod@sp2.ustka.pl.</v>
      </c>
      <c r="D28" s="188"/>
      <c r="E28" s="188"/>
      <c r="F28" s="188"/>
      <c r="G28" s="188"/>
      <c r="H28" s="188"/>
    </row>
    <row r="29" spans="2:11" ht="18.600000000000001" customHeight="1" x14ac:dyDescent="0.3">
      <c r="B29" s="34">
        <v>3</v>
      </c>
      <c r="C29" s="188" t="s">
        <v>35</v>
      </c>
      <c r="D29" s="188"/>
      <c r="E29" s="188"/>
      <c r="F29" s="188"/>
      <c r="G29" s="188"/>
      <c r="H29" s="188"/>
    </row>
    <row r="30" spans="2:11" ht="40.799999999999997" customHeight="1" x14ac:dyDescent="0.3">
      <c r="B30" s="34">
        <v>4</v>
      </c>
      <c r="C30" s="188" t="s">
        <v>36</v>
      </c>
      <c r="D30" s="188"/>
      <c r="E30" s="188"/>
      <c r="F30" s="188"/>
      <c r="G30" s="188"/>
      <c r="H30" s="188"/>
    </row>
    <row r="31" spans="2:11" ht="40.799999999999997" customHeight="1" x14ac:dyDescent="0.3">
      <c r="B31" s="34">
        <v>5</v>
      </c>
      <c r="C31" s="188" t="s">
        <v>37</v>
      </c>
      <c r="D31" s="188"/>
      <c r="E31" s="188"/>
      <c r="F31" s="188"/>
      <c r="G31" s="188"/>
      <c r="H31" s="188"/>
    </row>
    <row r="32" spans="2:11" ht="18.600000000000001" customHeight="1" x14ac:dyDescent="0.3">
      <c r="B32" s="34">
        <v>6</v>
      </c>
      <c r="C32" s="188" t="s">
        <v>38</v>
      </c>
      <c r="D32" s="188"/>
      <c r="E32" s="188"/>
      <c r="F32" s="188"/>
      <c r="G32" s="188"/>
      <c r="H32" s="188"/>
    </row>
    <row r="33" spans="2:8" ht="25.8" customHeight="1" x14ac:dyDescent="0.3">
      <c r="B33" s="34">
        <v>7</v>
      </c>
      <c r="C33" s="188" t="s">
        <v>39</v>
      </c>
      <c r="D33" s="188"/>
      <c r="E33" s="188"/>
      <c r="F33" s="188"/>
      <c r="G33" s="188"/>
      <c r="H33" s="188"/>
    </row>
    <row r="34" spans="2:8" ht="32.4" customHeight="1" x14ac:dyDescent="0.3">
      <c r="B34" s="34">
        <v>8</v>
      </c>
      <c r="C34" s="188" t="s">
        <v>44</v>
      </c>
      <c r="D34" s="188"/>
      <c r="E34" s="188"/>
      <c r="F34" s="188"/>
      <c r="G34" s="188"/>
      <c r="H34" s="188"/>
    </row>
    <row r="35" spans="2:8" ht="18.600000000000001" customHeight="1" x14ac:dyDescent="0.3">
      <c r="B35" s="34">
        <v>9</v>
      </c>
      <c r="C35" s="188" t="s">
        <v>41</v>
      </c>
      <c r="D35" s="188"/>
      <c r="E35" s="188"/>
      <c r="F35" s="188"/>
      <c r="G35" s="188"/>
      <c r="H35" s="188"/>
    </row>
    <row r="36" spans="2:8" ht="18.600000000000001" customHeight="1" x14ac:dyDescent="0.3">
      <c r="B36" s="34">
        <v>10</v>
      </c>
      <c r="C36" s="188" t="s">
        <v>40</v>
      </c>
      <c r="D36" s="188"/>
      <c r="E36" s="188"/>
      <c r="F36" s="188"/>
      <c r="G36" s="188"/>
      <c r="H36" s="188"/>
    </row>
    <row r="38" spans="2:8" x14ac:dyDescent="0.3">
      <c r="B38" s="12"/>
    </row>
    <row r="39" spans="2:8" x14ac:dyDescent="0.3">
      <c r="B39" s="17"/>
    </row>
    <row r="40" spans="2:8" ht="15.6" x14ac:dyDescent="0.3">
      <c r="B40" s="189"/>
      <c r="C40" s="189"/>
      <c r="D40" s="36"/>
      <c r="G40" s="189" t="s">
        <v>42</v>
      </c>
      <c r="H40" s="189"/>
    </row>
    <row r="41" spans="2:8" x14ac:dyDescent="0.3">
      <c r="B41" s="190"/>
      <c r="C41" s="190"/>
      <c r="D41" s="35"/>
      <c r="G41" s="190" t="s">
        <v>32</v>
      </c>
      <c r="H41" s="190"/>
    </row>
  </sheetData>
  <sheetProtection algorithmName="SHA-512" hashValue="qKAhuCJzFhsGchiqwwcAi7/u8Wd2gVHMFvTmBWADis1dEAjmCeUalR42FG8LpiRdQAfFHYUvgk/kvUquM5Td0w==" saltValue="XCgYG8Q9GAMhCc+F7kKYsA==" spinCount="100000" sheet="1" objects="1" scenarios="1"/>
  <mergeCells count="35">
    <mergeCell ref="B21:G21"/>
    <mergeCell ref="B13:B14"/>
    <mergeCell ref="C13:C14"/>
    <mergeCell ref="G13:G14"/>
    <mergeCell ref="B24:H24"/>
    <mergeCell ref="B22:G22"/>
    <mergeCell ref="B23:G23"/>
    <mergeCell ref="B20:G20"/>
    <mergeCell ref="C34:H34"/>
    <mergeCell ref="C27:H27"/>
    <mergeCell ref="C28:H28"/>
    <mergeCell ref="C29:H29"/>
    <mergeCell ref="C30:H30"/>
    <mergeCell ref="C31:H31"/>
    <mergeCell ref="C32:H32"/>
    <mergeCell ref="C33:H33"/>
    <mergeCell ref="C35:H35"/>
    <mergeCell ref="C36:H36"/>
    <mergeCell ref="B40:C40"/>
    <mergeCell ref="B41:C41"/>
    <mergeCell ref="G40:H40"/>
    <mergeCell ref="G41:H41"/>
    <mergeCell ref="B2:D2"/>
    <mergeCell ref="B3:D3"/>
    <mergeCell ref="B4:D4"/>
    <mergeCell ref="B6:D6"/>
    <mergeCell ref="B7:D7"/>
    <mergeCell ref="B9:H9"/>
    <mergeCell ref="B10:H10"/>
    <mergeCell ref="E13:F13"/>
    <mergeCell ref="E15:F15"/>
    <mergeCell ref="E16:F16"/>
    <mergeCell ref="D13:D14"/>
    <mergeCell ref="C15:D15"/>
    <mergeCell ref="B12:H12"/>
  </mergeCells>
  <conditionalFormatting sqref="F17:F19">
    <cfRule type="cellIs" dxfId="0" priority="1" operator="greaterThan">
      <formula>25</formula>
    </cfRule>
  </conditionalFormatting>
  <pageMargins left="0.78740157480314965" right="0.19685039370078741" top="0.74803149606299213" bottom="0.35433070866141736" header="0.31496062992125984" footer="0.31496062992125984"/>
  <pageSetup paperSize="9" scale="75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obliczenia!$I$4:$I$9</xm:f>
          </x14:formula1>
          <xm:sqref>H20</xm:sqref>
        </x14:dataValidation>
        <x14:dataValidation type="list" allowBlank="1" showInputMessage="1" showErrorMessage="1">
          <x14:formula1>
            <xm:f>obliczenia!$M$3:$M$5</xm:f>
          </x14:formula1>
          <xm:sqref>D16:D19</xm:sqref>
        </x14:dataValidation>
        <x14:dataValidation type="list" allowBlank="1" showInputMessage="1" showErrorMessage="1">
          <x14:formula1>
            <xm:f>obliczenia!$K$28:$K$29</xm:f>
          </x14:formula1>
          <xm:sqref>H14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6"/>
  <sheetViews>
    <sheetView showGridLines="0" zoomScale="130" zoomScaleNormal="130" workbookViewId="0">
      <selection activeCell="B4" sqref="B4"/>
    </sheetView>
  </sheetViews>
  <sheetFormatPr defaultRowHeight="14.4" x14ac:dyDescent="0.3"/>
  <cols>
    <col min="1" max="1" width="3" customWidth="1"/>
    <col min="2" max="2" width="11.5546875" customWidth="1"/>
    <col min="3" max="3" width="19.33203125" customWidth="1"/>
    <col min="4" max="4" width="5" customWidth="1"/>
    <col min="5" max="5" width="49.77734375" customWidth="1"/>
    <col min="6" max="6" width="25.109375" customWidth="1"/>
    <col min="7" max="7" width="13.33203125" customWidth="1"/>
    <col min="8" max="8" width="2.44140625" customWidth="1"/>
    <col min="9" max="9" width="8.88671875" style="18" hidden="1" customWidth="1"/>
    <col min="10" max="10" width="8.88671875" hidden="1" customWidth="1"/>
    <col min="11" max="11" width="19" hidden="1" customWidth="1"/>
    <col min="12" max="12" width="5.5546875" hidden="1" customWidth="1"/>
    <col min="13" max="13" width="16.77734375" hidden="1" customWidth="1"/>
    <col min="14" max="14" width="8.88671875" customWidth="1"/>
  </cols>
  <sheetData>
    <row r="2" spans="2:15" ht="28.8" customHeight="1" x14ac:dyDescent="0.3">
      <c r="B2" s="204" t="s">
        <v>78</v>
      </c>
      <c r="C2" s="204"/>
      <c r="E2" s="64" t="str">
        <f>CONCATENATE("Koszty uzyskania przychoduw roku  ",B3)</f>
        <v>Koszty uzyskania przychoduw roku  2023</v>
      </c>
      <c r="I2" s="52" t="s">
        <v>43</v>
      </c>
      <c r="K2" s="52" t="s">
        <v>89</v>
      </c>
      <c r="M2" s="120" t="s">
        <v>90</v>
      </c>
    </row>
    <row r="3" spans="2:15" x14ac:dyDescent="0.3">
      <c r="B3" s="32">
        <v>2023</v>
      </c>
      <c r="C3" s="37" t="s">
        <v>15</v>
      </c>
      <c r="E3" s="38" t="str">
        <f>CONCATENATE(K3," - zakład pracy w miejscu zamieszkania")</f>
        <v>250 - zakład pracy w miejscu zamieszkania</v>
      </c>
      <c r="I3" s="39">
        <v>0</v>
      </c>
      <c r="K3" s="126">
        <v>250</v>
      </c>
      <c r="M3" s="38" t="s">
        <v>91</v>
      </c>
    </row>
    <row r="4" spans="2:15" x14ac:dyDescent="0.3">
      <c r="B4" s="33">
        <v>3600</v>
      </c>
      <c r="C4" s="42" t="s">
        <v>16</v>
      </c>
      <c r="E4" s="38" t="str">
        <f>CONCATENATE(K4," - zakład pracy poza miejscem zamieszkania")</f>
        <v>300 - zakład pracy poza miejscem zamieszkania</v>
      </c>
      <c r="I4" s="39">
        <v>1</v>
      </c>
      <c r="K4" s="126">
        <v>300</v>
      </c>
      <c r="M4" s="38" t="s">
        <v>87</v>
      </c>
    </row>
    <row r="5" spans="2:15" x14ac:dyDescent="0.3">
      <c r="B5" s="43"/>
      <c r="C5" s="63"/>
      <c r="E5" s="38" t="s">
        <v>96</v>
      </c>
      <c r="I5" s="39">
        <v>2</v>
      </c>
      <c r="K5" s="126">
        <v>375</v>
      </c>
      <c r="M5" s="38" t="s">
        <v>88</v>
      </c>
    </row>
    <row r="6" spans="2:15" x14ac:dyDescent="0.3">
      <c r="E6" s="38" t="s">
        <v>97</v>
      </c>
      <c r="I6" s="39">
        <v>3</v>
      </c>
      <c r="K6" s="126">
        <v>450</v>
      </c>
      <c r="N6" s="5"/>
      <c r="O6" s="5"/>
    </row>
    <row r="7" spans="2:15" x14ac:dyDescent="0.3">
      <c r="I7" s="39">
        <v>4</v>
      </c>
      <c r="M7" s="50" t="s">
        <v>67</v>
      </c>
    </row>
    <row r="8" spans="2:15" x14ac:dyDescent="0.3">
      <c r="I8" s="39">
        <v>5</v>
      </c>
      <c r="M8" s="48" t="s">
        <v>117</v>
      </c>
    </row>
    <row r="9" spans="2:15" ht="24" customHeight="1" x14ac:dyDescent="0.3">
      <c r="D9" s="205" t="s">
        <v>95</v>
      </c>
      <c r="E9" s="205"/>
      <c r="F9" s="205"/>
      <c r="G9" s="205"/>
      <c r="I9" s="39">
        <v>6</v>
      </c>
      <c r="M9" s="51" t="s">
        <v>68</v>
      </c>
    </row>
    <row r="10" spans="2:15" ht="20.399999999999999" customHeight="1" x14ac:dyDescent="0.3">
      <c r="D10" s="52" t="s">
        <v>24</v>
      </c>
      <c r="E10" s="209" t="s">
        <v>69</v>
      </c>
      <c r="F10" s="210"/>
      <c r="G10" s="125" t="s">
        <v>110</v>
      </c>
      <c r="I10" s="10"/>
      <c r="K10" s="133" t="s">
        <v>122</v>
      </c>
      <c r="M10" s="62"/>
    </row>
    <row r="11" spans="2:15" x14ac:dyDescent="0.3">
      <c r="D11" s="65" t="s">
        <v>72</v>
      </c>
      <c r="E11" s="70" t="s">
        <v>111</v>
      </c>
      <c r="F11" s="78"/>
      <c r="G11" s="123">
        <f>F11+G12+G15</f>
        <v>0</v>
      </c>
      <c r="I11" s="212" t="s">
        <v>101</v>
      </c>
      <c r="J11" s="213"/>
      <c r="K11" s="133"/>
    </row>
    <row r="12" spans="2:15" x14ac:dyDescent="0.3">
      <c r="D12" s="65"/>
      <c r="E12" s="70" t="s">
        <v>112</v>
      </c>
      <c r="F12" s="127"/>
      <c r="G12" s="214">
        <f>-SUM(F12:F14)</f>
        <v>0</v>
      </c>
      <c r="I12" s="121">
        <v>0.24</v>
      </c>
      <c r="J12" s="134">
        <f>ROUND(I12*$B$4,0)</f>
        <v>864</v>
      </c>
      <c r="K12" s="133">
        <v>2023</v>
      </c>
    </row>
    <row r="13" spans="2:15" x14ac:dyDescent="0.3">
      <c r="D13" s="65"/>
      <c r="E13" s="70" t="s">
        <v>113</v>
      </c>
      <c r="F13" s="127"/>
      <c r="G13" s="215"/>
      <c r="I13" s="121">
        <v>0.33</v>
      </c>
      <c r="J13" s="134">
        <f t="shared" ref="J13:J15" si="0">ROUND(I13*$B$4,0)</f>
        <v>1188</v>
      </c>
      <c r="K13" s="133">
        <v>2024</v>
      </c>
    </row>
    <row r="14" spans="2:15" x14ac:dyDescent="0.3">
      <c r="D14" s="65"/>
      <c r="E14" s="70" t="s">
        <v>114</v>
      </c>
      <c r="F14" s="127"/>
      <c r="G14" s="216"/>
      <c r="I14" s="121">
        <v>0.83</v>
      </c>
      <c r="J14" s="134">
        <f t="shared" si="0"/>
        <v>2988</v>
      </c>
      <c r="K14" s="133">
        <v>2025</v>
      </c>
    </row>
    <row r="15" spans="2:15" x14ac:dyDescent="0.3">
      <c r="D15" s="65" t="s">
        <v>74</v>
      </c>
      <c r="E15" s="70" t="s">
        <v>79</v>
      </c>
      <c r="F15" s="128"/>
      <c r="G15" s="129">
        <f>-F15*3</f>
        <v>0</v>
      </c>
      <c r="I15" s="121">
        <v>0.5</v>
      </c>
      <c r="J15" s="134">
        <f t="shared" si="0"/>
        <v>1800</v>
      </c>
      <c r="K15" s="38" t="s">
        <v>123</v>
      </c>
      <c r="L15" s="135" t="s">
        <v>80</v>
      </c>
    </row>
    <row r="16" spans="2:15" x14ac:dyDescent="0.3">
      <c r="D16" s="65" t="s">
        <v>73</v>
      </c>
      <c r="E16" s="70" t="s">
        <v>70</v>
      </c>
      <c r="F16" s="78"/>
      <c r="G16" s="123"/>
      <c r="I16" s="122"/>
      <c r="J16" s="124"/>
      <c r="K16" s="38"/>
      <c r="L16" s="135"/>
    </row>
    <row r="17" spans="4:14" ht="16.8" customHeight="1" x14ac:dyDescent="0.3">
      <c r="D17" s="52" t="s">
        <v>25</v>
      </c>
      <c r="E17" s="209" t="s">
        <v>71</v>
      </c>
      <c r="F17" s="210"/>
      <c r="G17" s="211"/>
      <c r="H17" s="9"/>
      <c r="K17" s="136">
        <v>3490</v>
      </c>
      <c r="L17" s="135" t="str">
        <f>IF(E19="","",L15)</f>
        <v/>
      </c>
    </row>
    <row r="18" spans="4:14" ht="20.399999999999999" customHeight="1" x14ac:dyDescent="0.3">
      <c r="D18" s="66"/>
      <c r="E18" s="67" t="s">
        <v>75</v>
      </c>
      <c r="F18" s="68" t="s">
        <v>81</v>
      </c>
      <c r="G18" s="206">
        <f>SUM(F19:F22)</f>
        <v>0</v>
      </c>
      <c r="H18" s="10"/>
      <c r="K18" s="136">
        <v>3600</v>
      </c>
      <c r="L18" s="135" t="str">
        <f>IF(E20="","",L17)</f>
        <v/>
      </c>
    </row>
    <row r="19" spans="4:14" ht="16.8" customHeight="1" x14ac:dyDescent="0.3">
      <c r="D19" s="65" t="s">
        <v>72</v>
      </c>
      <c r="E19" s="79"/>
      <c r="F19" s="78"/>
      <c r="G19" s="207"/>
      <c r="H19" s="45"/>
      <c r="K19" s="136">
        <v>4242</v>
      </c>
      <c r="L19" s="135" t="str">
        <f>IF(E21="","",L18)</f>
        <v/>
      </c>
    </row>
    <row r="20" spans="4:14" ht="16.8" customHeight="1" x14ac:dyDescent="0.3">
      <c r="D20" s="65" t="s">
        <v>73</v>
      </c>
      <c r="E20" s="79"/>
      <c r="F20" s="78"/>
      <c r="G20" s="207"/>
      <c r="H20" s="45"/>
      <c r="K20" s="136">
        <v>4300</v>
      </c>
      <c r="L20" s="135" t="str">
        <f>IF(E22="","",L19)</f>
        <v/>
      </c>
    </row>
    <row r="21" spans="4:14" ht="16.8" customHeight="1" x14ac:dyDescent="0.3">
      <c r="D21" s="65" t="s">
        <v>74</v>
      </c>
      <c r="E21" s="79"/>
      <c r="F21" s="78"/>
      <c r="G21" s="207"/>
      <c r="H21" s="45"/>
      <c r="K21" s="38"/>
      <c r="L21" s="10"/>
    </row>
    <row r="22" spans="4:14" ht="16.8" customHeight="1" x14ac:dyDescent="0.3">
      <c r="D22" s="65" t="s">
        <v>76</v>
      </c>
      <c r="E22" s="79"/>
      <c r="F22" s="78"/>
      <c r="G22" s="208"/>
      <c r="H22" s="10"/>
      <c r="J22" s="201" t="s">
        <v>84</v>
      </c>
      <c r="K22" s="49">
        <f ca="1">TODAY()</f>
        <v>45245</v>
      </c>
    </row>
    <row r="23" spans="4:14" ht="16.8" customHeight="1" x14ac:dyDescent="0.3">
      <c r="D23" s="66"/>
      <c r="E23" s="202" t="s">
        <v>77</v>
      </c>
      <c r="F23" s="203"/>
      <c r="G23" s="69">
        <f>G11+F16+SUM(F19:F22)</f>
        <v>0</v>
      </c>
      <c r="H23" s="46"/>
      <c r="J23" s="201"/>
      <c r="K23" s="38">
        <f ca="1">IF(oświadczenie!H2="",obliczenia!K22,oświadczenie!H2)</f>
        <v>45245</v>
      </c>
    </row>
    <row r="24" spans="4:14" ht="22.8" customHeight="1" x14ac:dyDescent="0.3">
      <c r="F24" s="119"/>
      <c r="G24" s="119"/>
      <c r="H24" s="46"/>
      <c r="I24" s="10"/>
      <c r="M24" s="46"/>
    </row>
    <row r="25" spans="4:14" ht="16.8" customHeight="1" x14ac:dyDescent="0.3">
      <c r="F25" s="46"/>
      <c r="G25" s="46"/>
      <c r="H25" s="46"/>
      <c r="I25" s="39" t="s">
        <v>102</v>
      </c>
      <c r="J25" s="53">
        <v>0</v>
      </c>
      <c r="K25" s="53">
        <f>obliczenia!$B$4</f>
        <v>3600</v>
      </c>
      <c r="M25" s="46"/>
    </row>
    <row r="26" spans="4:14" ht="16.8" customHeight="1" x14ac:dyDescent="0.3">
      <c r="F26" s="46"/>
      <c r="G26" s="46"/>
      <c r="H26" s="46"/>
      <c r="I26" s="39" t="s">
        <v>103</v>
      </c>
      <c r="J26" s="53">
        <f>K25+1</f>
        <v>3601</v>
      </c>
      <c r="K26" s="53">
        <f>ROUND(obliczenia!$B$4*L26,0)</f>
        <v>4788</v>
      </c>
      <c r="L26" s="44">
        <v>1.33</v>
      </c>
      <c r="M26" s="46"/>
    </row>
    <row r="27" spans="4:14" ht="16.8" customHeight="1" x14ac:dyDescent="0.3">
      <c r="H27" s="46"/>
      <c r="I27" s="39" t="s">
        <v>104</v>
      </c>
      <c r="J27" s="53">
        <f>K26+1</f>
        <v>4789</v>
      </c>
      <c r="K27" s="53">
        <f>ROUND(J27*L27,0)</f>
        <v>6369</v>
      </c>
      <c r="L27" s="44">
        <v>1.33</v>
      </c>
      <c r="M27" s="46"/>
    </row>
    <row r="28" spans="4:14" ht="16.8" customHeight="1" x14ac:dyDescent="0.3">
      <c r="H28" s="47"/>
      <c r="I28" s="39" t="s">
        <v>105</v>
      </c>
      <c r="J28" s="53">
        <f>K27+1</f>
        <v>6370</v>
      </c>
      <c r="K28" s="39" t="str">
        <f>CONCATENATE("powyżej ",$K$27," zł")</f>
        <v>powyżej 6369 zł</v>
      </c>
      <c r="L28" s="46"/>
      <c r="M28" s="46"/>
    </row>
    <row r="29" spans="4:14" x14ac:dyDescent="0.3">
      <c r="K29" s="39"/>
    </row>
    <row r="31" spans="4:14" x14ac:dyDescent="0.3">
      <c r="I31" s="18" t="str">
        <f>IF(AND(oświadczenie!$H$22&gt;obliczenia!J26,oświadczenie!$H$22&lt;=obliczenia!K26),obliczenia!I26,"")</f>
        <v/>
      </c>
      <c r="K31" s="131">
        <v>44816</v>
      </c>
      <c r="L31" s="132" t="s">
        <v>93</v>
      </c>
      <c r="M31" s="200" t="s">
        <v>94</v>
      </c>
      <c r="N31" s="200"/>
    </row>
    <row r="32" spans="4:14" x14ac:dyDescent="0.3">
      <c r="I32" s="18" t="str">
        <f>IF(AND(oświadczenie!$H$22&gt;obliczenia!J27,oświadczenie!$H$22&lt;=obliczenia!K27),obliczenia!I27,"")</f>
        <v/>
      </c>
      <c r="K32" s="131">
        <v>44930</v>
      </c>
      <c r="L32" s="132" t="s">
        <v>93</v>
      </c>
      <c r="M32" s="199" t="s">
        <v>116</v>
      </c>
      <c r="N32" s="199"/>
    </row>
    <row r="33" spans="13:13" x14ac:dyDescent="0.3">
      <c r="M33" t="s">
        <v>119</v>
      </c>
    </row>
    <row r="34" spans="13:13" x14ac:dyDescent="0.3">
      <c r="M34" t="s">
        <v>118</v>
      </c>
    </row>
    <row r="35" spans="13:13" x14ac:dyDescent="0.3">
      <c r="M35" t="s">
        <v>120</v>
      </c>
    </row>
    <row r="36" spans="13:13" x14ac:dyDescent="0.3">
      <c r="M36" t="s">
        <v>121</v>
      </c>
    </row>
  </sheetData>
  <sheetProtection algorithmName="SHA-512" hashValue="KxKa4fsfzGT/lme4W7R4AlsjzLR1a9ZUX4Dsea3Fi8pxbbauEXckNdglasWBfXgirtNJoWYeKbMPjtIXAWUhDg==" saltValue="X4H44zqGHtPNJPLL3P8Drw==" spinCount="100000" sheet="1" objects="1" scenarios="1"/>
  <mergeCells count="11">
    <mergeCell ref="M32:N32"/>
    <mergeCell ref="M31:N31"/>
    <mergeCell ref="J22:J23"/>
    <mergeCell ref="E23:F23"/>
    <mergeCell ref="B2:C2"/>
    <mergeCell ref="D9:G9"/>
    <mergeCell ref="G18:G22"/>
    <mergeCell ref="E17:G17"/>
    <mergeCell ref="I11:J11"/>
    <mergeCell ref="G12:G14"/>
    <mergeCell ref="E10:F10"/>
  </mergeCells>
  <dataValidations count="3">
    <dataValidation type="list" allowBlank="1" showInputMessage="1" showErrorMessage="1" sqref="F15">
      <formula1>$K$3:$K$6</formula1>
    </dataValidation>
    <dataValidation type="list" allowBlank="1" showInputMessage="1" showErrorMessage="1" sqref="B3">
      <formula1>$K$11:$K$14</formula1>
    </dataValidation>
    <dataValidation type="list" allowBlank="1" showInputMessage="1" showErrorMessage="1" sqref="B4">
      <formula1>$K$16:$K$20</formula1>
    </dataValidation>
  </dataValidations>
  <hyperlinks>
    <hyperlink ref="M9" r:id="rId1"/>
  </hyperlinks>
  <pageMargins left="0.7" right="0.7" top="0.75" bottom="0.75" header="0.3" footer="0.3"/>
  <pageSetup paperSize="9" orientation="portrait" horizontalDpi="300" verticalDpi="300" r:id="rId2"/>
  <ignoredErrors>
    <ignoredError sqref="G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Tabela 1</vt:lpstr>
      <vt:lpstr>Załacznik nr 1</vt:lpstr>
      <vt:lpstr>Załącznik nr 2</vt:lpstr>
      <vt:lpstr>Załącznik nr 7</vt:lpstr>
      <vt:lpstr>oświadczenie</vt:lpstr>
      <vt:lpstr>obliczenia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Cezary Tokarczyk</dc:creator>
  <cp:lastModifiedBy>Cezary Tokarczyk - wicedyrektor</cp:lastModifiedBy>
  <cp:lastPrinted>2023-11-15T11:41:41Z</cp:lastPrinted>
  <dcterms:created xsi:type="dcterms:W3CDTF">2022-08-07T14:44:31Z</dcterms:created>
  <dcterms:modified xsi:type="dcterms:W3CDTF">2023-11-15T12:10:00Z</dcterms:modified>
</cp:coreProperties>
</file>